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NBA-10.2a" sheetId="1" state="visible" r:id="rId2"/>
    <sheet name="NBA-10.2b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<sst xmlns="http://schemas.openxmlformats.org/spreadsheetml/2006/main" count="111" uniqueCount="56">
  <si>
    <t xml:space="preserve">VEER SURENDRA SAI UNIVERSITY OF TECHNOLOGY, BURLA</t>
  </si>
  <si>
    <t xml:space="preserve">INFORMATION REQUIRED FOR NAAC/NBA</t>
  </si>
  <si>
    <t xml:space="preserve">CAUTION MONEY PAYABLE</t>
  </si>
  <si>
    <t xml:space="preserve">Point-10.2</t>
  </si>
  <si>
    <t xml:space="preserve">Total Income in CFY up to 31-12-2023</t>
  </si>
  <si>
    <t xml:space="preserve">Actual Expenditure in CFY till 31.12.2023</t>
  </si>
  <si>
    <t xml:space="preserve">Total No. of Students in CFY.</t>
  </si>
  <si>
    <t xml:space="preserve">Total No. of Students in CFY-4329</t>
  </si>
  <si>
    <t xml:space="preserve">Fees</t>
  </si>
  <si>
    <t xml:space="preserve">Govt (GIA)</t>
  </si>
  <si>
    <t xml:space="preserve">Grants-Scheme</t>
  </si>
  <si>
    <t xml:space="preserve">Other Sources-</t>
  </si>
  <si>
    <t xml:space="preserve">Recurring including Salaries</t>
  </si>
  <si>
    <t xml:space="preserve">Non-Recurring</t>
  </si>
  <si>
    <t xml:space="preserve">Special Projects-IDP
</t>
  </si>
  <si>
    <t xml:space="preserve">Expenditure per Student</t>
  </si>
  <si>
    <t xml:space="preserve">Total Income in CFYm1(2022-23)</t>
  </si>
  <si>
    <t xml:space="preserve">Actual Expenditure in CFY m1
(2022-23)</t>
  </si>
  <si>
    <t xml:space="preserve">Total No. of Students in CFYm1-3123</t>
  </si>
  <si>
    <t xml:space="preserve">Grants</t>
  </si>
  <si>
    <t xml:space="preserve">Other Sources</t>
  </si>
  <si>
    <t xml:space="preserve">Special Projects(specify)</t>
  </si>
  <si>
    <t xml:space="preserve">Total Income in CFYm2(2021-22)</t>
  </si>
  <si>
    <t xml:space="preserve">Actual Expenditure in CFY m2
(2021-22)</t>
  </si>
  <si>
    <t xml:space="preserve">Total No. of Students in CFYm2-3968</t>
  </si>
  <si>
    <t xml:space="preserve">Special Projects (specify)</t>
  </si>
  <si>
    <t xml:space="preserve">Total Income in CFYm3(2020-21)</t>
  </si>
  <si>
    <t xml:space="preserve">Actual Expenditure in CFY m3
(2020-21)</t>
  </si>
  <si>
    <t xml:space="preserve">Total No. of Students in CFYm3-4011</t>
  </si>
  <si>
    <t xml:space="preserve">Total Income in CFYm4(2019-20)</t>
  </si>
  <si>
    <t xml:space="preserve">Actual Expenditure in CFY m4
(2019-20)</t>
  </si>
  <si>
    <t xml:space="preserve">Total Income in CFYm5(2018-19)</t>
  </si>
  <si>
    <t xml:space="preserve">Actual Expenditure in CFY m5
(2018-19)</t>
  </si>
  <si>
    <t xml:space="preserve">Point-10.2b</t>
  </si>
  <si>
    <t xml:space="preserve">CFY-2023-24</t>
  </si>
  <si>
    <t xml:space="preserve">CFYM1-2022-23</t>
  </si>
  <si>
    <t xml:space="preserve">CFYM1-2021-22</t>
  </si>
  <si>
    <t xml:space="preserve">CFYM1-2020-21</t>
  </si>
  <si>
    <t xml:space="preserve">ITEMS</t>
  </si>
  <si>
    <t xml:space="preserve">Budgeted in CFY</t>
  </si>
  <si>
    <t xml:space="preserve">Actual Expenses in CFY till 31.12.2023</t>
  </si>
  <si>
    <t xml:space="preserve">Budgeted</t>
  </si>
  <si>
    <t xml:space="preserve">Actuals</t>
  </si>
  <si>
    <t xml:space="preserve">Infrastructure Built-Up</t>
  </si>
  <si>
    <t xml:space="preserve">Library</t>
  </si>
  <si>
    <t xml:space="preserve">Laboratory Consumables</t>
  </si>
  <si>
    <t xml:space="preserve">Teaching and Non-teaching Staff salary</t>
  </si>
  <si>
    <t xml:space="preserve">Maintenance and Spares</t>
  </si>
  <si>
    <t xml:space="preserve">R &amp; D</t>
  </si>
  <si>
    <t xml:space="preserve">Training and Travel</t>
  </si>
  <si>
    <t xml:space="preserve">Electricity and Water Charges</t>
  </si>
  <si>
    <t xml:space="preserve">Contractual and Outsourcing Manpower</t>
  </si>
  <si>
    <t xml:space="preserve">Watch and Ward</t>
  </si>
  <si>
    <t xml:space="preserve">Other Expenditure/Office Contingencies</t>
  </si>
  <si>
    <t xml:space="preserve">Others-Specify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</si>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</sst>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W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8.5390625" defaultRowHeight="14.25" zeroHeight="false" outlineLevelRow="0" outlineLevelCol="0"/>
  <cols>
    <col collapsed="false" customWidth="true" hidden="false" outlineLevel="0" max="3" min="2" style="0" width="12.82"/>
    <col collapsed="false" customWidth="true" hidden="false" outlineLevel="0" max="4" min="4" style="0" width="14.66"/>
    <col collapsed="false" customWidth="true" hidden="false" outlineLevel="0" max="5" min="5" style="0" width="15.14"/>
    <col collapsed="false" customWidth="true" hidden="false" outlineLevel="0" max="6" min="6" style="0" width="14.47"/>
    <col collapsed="false" customWidth="true" hidden="false" outlineLevel="0" max="8" min="7" style="0" width="12.82"/>
    <col collapsed="false" customWidth="true" hidden="true" outlineLevel="0" max="9" min="9" style="0" width="9.14"/>
    <col collapsed="false" customWidth="true" hidden="true" outlineLevel="0" max="10" min="10" style="0" width="13.44"/>
    <col collapsed="false" customWidth="true" hidden="true" outlineLevel="0" max="11" min="11" style="0" width="11.66"/>
    <col collapsed="false" customWidth="true" hidden="true" outlineLevel="0" max="12" min="12" style="0" width="10.66"/>
    <col collapsed="false" customWidth="true" hidden="false" outlineLevel="0" max="13" min="13" style="0" width="11.89"/>
    <col collapsed="false" customWidth="true" hidden="false" outlineLevel="0" max="18" min="17" style="0" width="10"/>
  </cols>
  <sheetData>
    <row r="1" customFormat="false" ht="15" hidden="false" customHeight="false" outlineLevel="0" collapsed="false"/>
    <row r="2" customFormat="false" ht="15" hidden="false" customHeight="false" outlineLevel="0" collapsed="false">
      <c r="B2" s="1" t="s">
        <v>0</v>
      </c>
      <c r="C2" s="1"/>
      <c r="D2" s="1"/>
      <c r="E2" s="1"/>
      <c r="F2" s="1"/>
      <c r="G2" s="1"/>
    </row>
    <row r="3" customFormat="false" ht="18" hidden="false" customHeight="false" outlineLevel="0" collapsed="false">
      <c r="B3" s="2"/>
      <c r="C3" s="2"/>
      <c r="D3" s="2"/>
      <c r="E3" s="2"/>
      <c r="F3" s="2"/>
      <c r="G3" s="2"/>
    </row>
    <row r="4" customFormat="false" ht="15.75" hidden="false" customHeight="false" outlineLevel="0" collapsed="false">
      <c r="B4" s="3" t="s">
        <v>1</v>
      </c>
      <c r="C4" s="3"/>
      <c r="D4" s="3"/>
      <c r="E4" s="3"/>
      <c r="F4" s="3"/>
      <c r="G4" s="3"/>
      <c r="J4" s="4" t="s">
        <v>2</v>
      </c>
    </row>
    <row r="5" customFormat="false" ht="14.25" hidden="false" customHeight="false" outlineLevel="0" collapsed="false">
      <c r="D5" s="5"/>
    </row>
    <row r="6" customFormat="false" ht="15" hidden="false" customHeight="false" outlineLevel="0" collapsed="false">
      <c r="B6" s="4" t="s">
        <v>3</v>
      </c>
      <c r="D6" s="5"/>
    </row>
    <row r="7" customFormat="false" ht="43.5" hidden="false" customHeight="true" outlineLevel="0" collapsed="false">
      <c r="B7" s="6" t="s">
        <v>4</v>
      </c>
      <c r="C7" s="6"/>
      <c r="D7" s="6"/>
      <c r="E7" s="6"/>
      <c r="F7" s="7" t="s">
        <v>5</v>
      </c>
      <c r="G7" s="7"/>
      <c r="H7" s="7"/>
      <c r="I7" s="8"/>
      <c r="J7" s="8"/>
      <c r="K7" s="8"/>
      <c r="L7" s="9" t="s">
        <v>6</v>
      </c>
      <c r="M7" s="10" t="s">
        <v>7</v>
      </c>
      <c r="N7" s="0" t="n">
        <f aca="false">3991+136+63+47+39+53</f>
        <v>4329</v>
      </c>
    </row>
    <row r="8" customFormat="false" ht="43.5" hidden="false" customHeight="false" outlineLevel="0" collapsed="false">
      <c r="B8" s="11" t="s">
        <v>8</v>
      </c>
      <c r="C8" s="12" t="s">
        <v>9</v>
      </c>
      <c r="D8" s="11" t="s">
        <v>10</v>
      </c>
      <c r="E8" s="13" t="s">
        <v>11</v>
      </c>
      <c r="F8" s="14" t="s">
        <v>12</v>
      </c>
      <c r="G8" s="15" t="s">
        <v>13</v>
      </c>
      <c r="H8" s="14" t="s">
        <v>14</v>
      </c>
      <c r="I8" s="13"/>
      <c r="J8" s="13"/>
      <c r="K8" s="13"/>
      <c r="L8" s="15" t="s">
        <v>15</v>
      </c>
      <c r="M8" s="16" t="s">
        <v>15</v>
      </c>
    </row>
    <row r="9" customFormat="false" ht="14.25" hidden="false" customHeight="false" outlineLevel="0" collapsed="false">
      <c r="B9" s="17"/>
      <c r="C9" s="18"/>
      <c r="D9" s="19"/>
      <c r="E9" s="18"/>
      <c r="F9" s="17"/>
      <c r="G9" s="18"/>
      <c r="H9" s="17"/>
      <c r="I9" s="18"/>
      <c r="J9" s="18"/>
      <c r="K9" s="18"/>
      <c r="L9" s="18"/>
      <c r="M9" s="20"/>
    </row>
    <row r="10" customFormat="false" ht="14.25" hidden="false" customHeight="false" outlineLevel="0" collapsed="false">
      <c r="B10" s="19" t="n">
        <f aca="false">87676450+23489150+20506250+20418850+420350</f>
        <v>152511050</v>
      </c>
      <c r="C10" s="21" t="n">
        <f aca="false">226340000*3</f>
        <v>679020000</v>
      </c>
      <c r="D10" s="19" t="n">
        <f aca="false">700000000+10990997</f>
        <v>710990997</v>
      </c>
      <c r="E10" s="21" t="n">
        <f aca="false">14946351+17500000</f>
        <v>32446351</v>
      </c>
      <c r="F10" s="19" t="n">
        <f aca="false">1600692+1862485+143068731-833659-26576257+2138283+6032828+679020000-1618873-397533</f>
        <v>804296697</v>
      </c>
      <c r="G10" s="21" t="n">
        <f aca="false">26576257+5807420+833659+1618873+397533+13716000+5985450+13900000+7900000</f>
        <v>76735192</v>
      </c>
      <c r="H10" s="19" t="n">
        <v>700000000</v>
      </c>
      <c r="I10" s="18"/>
      <c r="J10" s="18"/>
      <c r="K10" s="18"/>
      <c r="L10" s="18"/>
      <c r="M10" s="22" t="n">
        <f aca="false">(F10+G10+H10)/N7</f>
        <v>365218.731577732</v>
      </c>
    </row>
    <row r="11" customFormat="false" ht="15" hidden="false" customHeight="false" outlineLevel="0" collapsed="false">
      <c r="B11" s="23"/>
      <c r="C11" s="24"/>
      <c r="D11" s="23"/>
      <c r="E11" s="24"/>
      <c r="F11" s="23"/>
      <c r="G11" s="23"/>
      <c r="H11" s="23"/>
      <c r="I11" s="24"/>
      <c r="J11" s="24"/>
      <c r="K11" s="24"/>
      <c r="L11" s="24"/>
      <c r="M11" s="25"/>
    </row>
    <row r="12" customFormat="false" ht="14.25" hidden="false" customHeight="false" outlineLevel="0" collapsed="false">
      <c r="O12" s="18"/>
      <c r="W12" s="18"/>
    </row>
    <row r="13" customFormat="false" ht="15" hidden="false" customHeight="false" outlineLevel="0" collapsed="false"/>
    <row r="14" customFormat="false" ht="43.5" hidden="false" customHeight="true" outlineLevel="0" collapsed="false">
      <c r="B14" s="7" t="s">
        <v>16</v>
      </c>
      <c r="C14" s="7"/>
      <c r="D14" s="7"/>
      <c r="E14" s="7"/>
      <c r="F14" s="7" t="s">
        <v>17</v>
      </c>
      <c r="G14" s="7"/>
      <c r="H14" s="7"/>
      <c r="I14" s="26"/>
      <c r="J14" s="26"/>
      <c r="K14" s="26"/>
      <c r="L14" s="10" t="s">
        <v>6</v>
      </c>
      <c r="M14" s="10" t="s">
        <v>18</v>
      </c>
      <c r="N14" s="0" t="n">
        <f aca="false">2788+128+58+49+39+61</f>
        <v>3123</v>
      </c>
    </row>
    <row r="15" customFormat="false" ht="43.5" hidden="false" customHeight="false" outlineLevel="0" collapsed="false">
      <c r="B15" s="11" t="s">
        <v>8</v>
      </c>
      <c r="C15" s="12" t="s">
        <v>9</v>
      </c>
      <c r="D15" s="11" t="s">
        <v>19</v>
      </c>
      <c r="E15" s="13" t="s">
        <v>20</v>
      </c>
      <c r="F15" s="14" t="s">
        <v>12</v>
      </c>
      <c r="G15" s="15" t="s">
        <v>13</v>
      </c>
      <c r="H15" s="14" t="s">
        <v>21</v>
      </c>
      <c r="I15" s="13"/>
      <c r="J15" s="13"/>
      <c r="K15" s="13"/>
      <c r="L15" s="15" t="s">
        <v>15</v>
      </c>
      <c r="M15" s="16" t="s">
        <v>15</v>
      </c>
    </row>
    <row r="16" customFormat="false" ht="14.25" hidden="false" customHeight="false" outlineLevel="0" collapsed="false">
      <c r="B16" s="17"/>
      <c r="C16" s="18"/>
      <c r="D16" s="19"/>
      <c r="E16" s="18"/>
      <c r="F16" s="17"/>
      <c r="G16" s="18"/>
      <c r="H16" s="17"/>
      <c r="I16" s="18"/>
      <c r="J16" s="18"/>
      <c r="K16" s="18"/>
      <c r="L16" s="18"/>
      <c r="M16" s="20"/>
    </row>
    <row r="17" customFormat="false" ht="14.25" hidden="false" customHeight="false" outlineLevel="0" collapsed="false">
      <c r="B17" s="19" t="n">
        <v>192880199</v>
      </c>
      <c r="C17" s="21" t="n">
        <v>954760784</v>
      </c>
      <c r="D17" s="19" t="n">
        <f aca="false">13225798</f>
        <v>13225798</v>
      </c>
      <c r="E17" s="21" t="n">
        <v>35306387</v>
      </c>
      <c r="F17" s="19" t="n">
        <f aca="false">15505780+1012887392+4058377+8959731+71852668-15795567-487986</f>
        <v>1096980395</v>
      </c>
      <c r="G17" s="21" t="n">
        <f aca="false">101006316+35446621+10380867</f>
        <v>146833804</v>
      </c>
      <c r="H17" s="19"/>
      <c r="I17" s="21"/>
      <c r="J17" s="21"/>
      <c r="K17" s="21"/>
      <c r="L17" s="21"/>
      <c r="M17" s="22" t="n">
        <f aca="false">(F17+G17)/N14</f>
        <v>398275.439961575</v>
      </c>
    </row>
    <row r="18" customFormat="false" ht="15" hidden="false" customHeight="false" outlineLevel="0" collapsed="false">
      <c r="B18" s="23"/>
      <c r="C18" s="24"/>
      <c r="D18" s="23"/>
      <c r="E18" s="24"/>
      <c r="F18" s="23"/>
      <c r="G18" s="24"/>
      <c r="H18" s="23"/>
      <c r="I18" s="24"/>
      <c r="J18" s="24"/>
      <c r="K18" s="24"/>
      <c r="L18" s="24"/>
      <c r="M18" s="25"/>
    </row>
    <row r="22" customFormat="false" ht="15" hidden="false" customHeight="false" outlineLevel="0" collapsed="false"/>
    <row r="23" customFormat="false" ht="43.5" hidden="false" customHeight="true" outlineLevel="0" collapsed="false">
      <c r="B23" s="6" t="s">
        <v>22</v>
      </c>
      <c r="C23" s="6"/>
      <c r="D23" s="6"/>
      <c r="E23" s="6"/>
      <c r="F23" s="7" t="s">
        <v>23</v>
      </c>
      <c r="G23" s="7"/>
      <c r="H23" s="7"/>
      <c r="I23" s="27"/>
      <c r="J23" s="27"/>
      <c r="K23" s="27"/>
      <c r="L23" s="10" t="s">
        <v>6</v>
      </c>
      <c r="M23" s="10" t="s">
        <v>24</v>
      </c>
      <c r="N23" s="0" t="n">
        <f aca="false">3642+132+60+51+30+53</f>
        <v>3968</v>
      </c>
    </row>
    <row r="24" customFormat="false" ht="43.5" hidden="false" customHeight="false" outlineLevel="0" collapsed="false">
      <c r="B24" s="11" t="s">
        <v>8</v>
      </c>
      <c r="C24" s="12" t="s">
        <v>9</v>
      </c>
      <c r="D24" s="11" t="s">
        <v>19</v>
      </c>
      <c r="E24" s="13" t="s">
        <v>20</v>
      </c>
      <c r="F24" s="14" t="s">
        <v>12</v>
      </c>
      <c r="G24" s="15" t="s">
        <v>13</v>
      </c>
      <c r="H24" s="14" t="s">
        <v>25</v>
      </c>
      <c r="I24" s="13"/>
      <c r="J24" s="13"/>
      <c r="K24" s="13"/>
      <c r="L24" s="15" t="s">
        <v>15</v>
      </c>
      <c r="M24" s="16" t="s">
        <v>15</v>
      </c>
    </row>
    <row r="25" customFormat="false" ht="14.25" hidden="false" customHeight="false" outlineLevel="0" collapsed="false">
      <c r="B25" s="17"/>
      <c r="C25" s="18"/>
      <c r="D25" s="19"/>
      <c r="E25" s="18"/>
      <c r="F25" s="17"/>
      <c r="G25" s="18"/>
      <c r="H25" s="17"/>
      <c r="I25" s="18"/>
      <c r="J25" s="18"/>
      <c r="K25" s="18"/>
      <c r="L25" s="18"/>
      <c r="M25" s="20"/>
    </row>
    <row r="26" customFormat="false" ht="14.25" hidden="false" customHeight="false" outlineLevel="0" collapsed="false">
      <c r="B26" s="19" t="n">
        <v>183542101</v>
      </c>
      <c r="C26" s="21" t="n">
        <f aca="false">463823000+199791000+260175000</f>
        <v>923789000</v>
      </c>
      <c r="D26" s="19" t="n">
        <f aca="false">929701187-C26</f>
        <v>5912187</v>
      </c>
      <c r="E26" s="21" t="n">
        <v>44349714</v>
      </c>
      <c r="F26" s="19" t="n">
        <f aca="false">770720779+4354794+4964553+11499787+367000+837061+263794+122655+579158+3841500+121820+143172+29891+40592+525000+859067+11723481+2956809+372000+6509500+4345145+429037+1214923+100000+260087+439432+122130+98235+124451+779919+1032735+3849200+22490+369055+2941981+30726010+148003</f>
        <v>867835246</v>
      </c>
      <c r="G26" s="21" t="n">
        <f aca="false">163691650+5775508+1687400+457759+3279415</f>
        <v>174891732</v>
      </c>
      <c r="H26" s="19"/>
      <c r="I26" s="21"/>
      <c r="J26" s="21"/>
      <c r="K26" s="21"/>
      <c r="L26" s="21"/>
      <c r="M26" s="22" t="n">
        <f aca="false">(F26+G26)/N23</f>
        <v>262784.016633065</v>
      </c>
    </row>
    <row r="27" customFormat="false" ht="15" hidden="false" customHeight="false" outlineLevel="0" collapsed="false">
      <c r="B27" s="23"/>
      <c r="C27" s="24"/>
      <c r="D27" s="23"/>
      <c r="E27" s="24"/>
      <c r="F27" s="23"/>
      <c r="G27" s="24"/>
      <c r="H27" s="23"/>
      <c r="I27" s="24"/>
      <c r="J27" s="24"/>
      <c r="K27" s="24"/>
      <c r="L27" s="24"/>
      <c r="M27" s="25"/>
    </row>
    <row r="30" customFormat="false" ht="15" hidden="false" customHeight="false" outlineLevel="0" collapsed="false"/>
    <row r="31" customFormat="false" ht="43.5" hidden="false" customHeight="true" outlineLevel="0" collapsed="false">
      <c r="B31" s="6" t="s">
        <v>26</v>
      </c>
      <c r="C31" s="6"/>
      <c r="D31" s="6"/>
      <c r="E31" s="6"/>
      <c r="F31" s="7" t="s">
        <v>27</v>
      </c>
      <c r="G31" s="7"/>
      <c r="H31" s="7"/>
      <c r="I31" s="27"/>
      <c r="J31" s="27"/>
      <c r="K31" s="27"/>
      <c r="L31" s="10" t="s">
        <v>6</v>
      </c>
      <c r="M31" s="10" t="s">
        <v>28</v>
      </c>
      <c r="N31" s="0" t="n">
        <f aca="false">3647+168+56+46+30+64</f>
        <v>4011</v>
      </c>
    </row>
    <row r="32" customFormat="false" ht="43.5" hidden="false" customHeight="false" outlineLevel="0" collapsed="false">
      <c r="B32" s="11" t="s">
        <v>8</v>
      </c>
      <c r="C32" s="12" t="s">
        <v>9</v>
      </c>
      <c r="D32" s="11" t="s">
        <v>19</v>
      </c>
      <c r="E32" s="13" t="s">
        <v>20</v>
      </c>
      <c r="F32" s="14" t="s">
        <v>12</v>
      </c>
      <c r="G32" s="15" t="s">
        <v>13</v>
      </c>
      <c r="H32" s="14" t="s">
        <v>25</v>
      </c>
      <c r="I32" s="13"/>
      <c r="J32" s="13"/>
      <c r="K32" s="13"/>
      <c r="L32" s="15" t="s">
        <v>15</v>
      </c>
      <c r="M32" s="16" t="s">
        <v>15</v>
      </c>
    </row>
    <row r="33" customFormat="false" ht="14.25" hidden="false" customHeight="false" outlineLevel="0" collapsed="false">
      <c r="B33" s="17"/>
      <c r="C33" s="18"/>
      <c r="D33" s="19"/>
      <c r="E33" s="18"/>
      <c r="F33" s="17"/>
      <c r="G33" s="18"/>
      <c r="H33" s="17"/>
      <c r="I33" s="18"/>
      <c r="J33" s="18"/>
      <c r="K33" s="18"/>
      <c r="L33" s="18"/>
      <c r="M33" s="20"/>
    </row>
    <row r="34" customFormat="false" ht="14.25" hidden="false" customHeight="false" outlineLevel="0" collapsed="false">
      <c r="B34" s="19" t="n">
        <v>229667807</v>
      </c>
      <c r="C34" s="21" t="n">
        <f aca="false">431803000+173528000+5000000</f>
        <v>610331000</v>
      </c>
      <c r="D34" s="19" t="n">
        <f aca="false">616412266-C34</f>
        <v>6081266</v>
      </c>
      <c r="E34" s="21" t="n">
        <v>45336125</v>
      </c>
      <c r="F34" s="19" t="n">
        <f aca="false">2320142+748422869+4756601+224610+666544+784000+4391631+164261+77545+39624+702160+313666+124774+41300+9477184+453212+1717577+156000+1435370+219000+255400+290232+166575+92250+1038723+66483+236005+62324+693290+665000+25829000+323905+161561+111122+1319896</f>
        <v>807799836</v>
      </c>
      <c r="G34" s="21" t="n">
        <f aca="false">90464118+4262877+4499306+24775554+2396742+2040953+18357904</f>
        <v>146797454</v>
      </c>
      <c r="H34" s="19"/>
      <c r="I34" s="21"/>
      <c r="J34" s="21"/>
      <c r="K34" s="21"/>
      <c r="L34" s="21"/>
      <c r="M34" s="22" t="n">
        <f aca="false">(F34+G34)/N31</f>
        <v>237994.836699078</v>
      </c>
    </row>
    <row r="35" customFormat="false" ht="15" hidden="false" customHeight="false" outlineLevel="0" collapsed="false">
      <c r="B35" s="23"/>
      <c r="C35" s="24"/>
      <c r="D35" s="23"/>
      <c r="E35" s="24"/>
      <c r="F35" s="23"/>
      <c r="G35" s="24"/>
      <c r="H35" s="23"/>
      <c r="I35" s="24"/>
      <c r="J35" s="24"/>
      <c r="K35" s="24"/>
      <c r="L35" s="24"/>
      <c r="M35" s="25"/>
    </row>
    <row r="37" customFormat="false" ht="15" hidden="false" customHeight="false" outlineLevel="0" collapsed="false"/>
    <row r="38" customFormat="false" ht="43.5" hidden="false" customHeight="true" outlineLevel="0" collapsed="false">
      <c r="B38" s="6" t="s">
        <v>29</v>
      </c>
      <c r="C38" s="6"/>
      <c r="D38" s="6"/>
      <c r="E38" s="6"/>
      <c r="F38" s="7" t="s">
        <v>30</v>
      </c>
      <c r="G38" s="7"/>
      <c r="H38" s="7"/>
      <c r="I38" s="27"/>
      <c r="J38" s="27"/>
      <c r="K38" s="27"/>
      <c r="L38" s="10" t="s">
        <v>6</v>
      </c>
      <c r="M38" s="10" t="s">
        <v>28</v>
      </c>
    </row>
    <row r="39" customFormat="false" ht="43.5" hidden="false" customHeight="false" outlineLevel="0" collapsed="false">
      <c r="B39" s="11" t="s">
        <v>8</v>
      </c>
      <c r="C39" s="12" t="s">
        <v>9</v>
      </c>
      <c r="D39" s="11" t="s">
        <v>19</v>
      </c>
      <c r="E39" s="13" t="s">
        <v>20</v>
      </c>
      <c r="F39" s="14" t="s">
        <v>12</v>
      </c>
      <c r="G39" s="15" t="s">
        <v>13</v>
      </c>
      <c r="H39" s="14" t="s">
        <v>25</v>
      </c>
      <c r="I39" s="13"/>
      <c r="J39" s="13"/>
      <c r="K39" s="13"/>
      <c r="L39" s="15" t="s">
        <v>15</v>
      </c>
      <c r="M39" s="16" t="s">
        <v>15</v>
      </c>
    </row>
    <row r="40" customFormat="false" ht="14.25" hidden="false" customHeight="false" outlineLevel="0" collapsed="false">
      <c r="B40" s="17"/>
      <c r="C40" s="18"/>
      <c r="D40" s="19"/>
      <c r="E40" s="18"/>
      <c r="F40" s="17"/>
      <c r="G40" s="18"/>
      <c r="H40" s="17"/>
      <c r="I40" s="18"/>
      <c r="J40" s="18"/>
      <c r="K40" s="18"/>
      <c r="L40" s="18"/>
      <c r="M40" s="20"/>
    </row>
    <row r="41" customFormat="false" ht="14.25" hidden="false" customHeight="false" outlineLevel="0" collapsed="false">
      <c r="B41" s="19" t="n">
        <v>230360131</v>
      </c>
      <c r="C41" s="21" t="n">
        <f aca="false">433066000+189828000</f>
        <v>622894000</v>
      </c>
      <c r="D41" s="19" t="n">
        <f aca="false">654120156-C41+1068750+704500+1004021+751455+159000</f>
        <v>34913882</v>
      </c>
      <c r="E41" s="21" t="n">
        <f aca="false">10371654+300070+28354474+21012+299700+70379</f>
        <v>39417289</v>
      </c>
      <c r="F41" s="19"/>
      <c r="G41" s="21"/>
      <c r="H41" s="19"/>
      <c r="I41" s="21"/>
      <c r="J41" s="21"/>
      <c r="K41" s="21"/>
      <c r="L41" s="21"/>
      <c r="M41" s="22" t="e">
        <f aca="false">(F41+G41)/N38</f>
        <v>#DIV/0!</v>
      </c>
    </row>
    <row r="42" customFormat="false" ht="15" hidden="false" customHeight="false" outlineLevel="0" collapsed="false">
      <c r="B42" s="23"/>
      <c r="C42" s="24"/>
      <c r="D42" s="23"/>
      <c r="E42" s="24"/>
      <c r="F42" s="23"/>
      <c r="G42" s="24"/>
      <c r="H42" s="23"/>
      <c r="I42" s="24"/>
      <c r="J42" s="24"/>
      <c r="K42" s="24"/>
      <c r="L42" s="24"/>
      <c r="M42" s="25"/>
    </row>
    <row r="44" customFormat="false" ht="15" hidden="false" customHeight="false" outlineLevel="0" collapsed="false"/>
    <row r="45" customFormat="false" ht="43.5" hidden="false" customHeight="true" outlineLevel="0" collapsed="false">
      <c r="B45" s="6" t="s">
        <v>31</v>
      </c>
      <c r="C45" s="6"/>
      <c r="D45" s="6"/>
      <c r="E45" s="6"/>
      <c r="F45" s="7" t="s">
        <v>32</v>
      </c>
      <c r="G45" s="7"/>
      <c r="H45" s="7"/>
      <c r="I45" s="27"/>
      <c r="J45" s="27"/>
      <c r="K45" s="27"/>
      <c r="L45" s="10" t="s">
        <v>6</v>
      </c>
      <c r="M45" s="10" t="s">
        <v>28</v>
      </c>
    </row>
    <row r="46" customFormat="false" ht="43.5" hidden="false" customHeight="false" outlineLevel="0" collapsed="false">
      <c r="B46" s="11" t="s">
        <v>8</v>
      </c>
      <c r="C46" s="12" t="s">
        <v>9</v>
      </c>
      <c r="D46" s="11" t="s">
        <v>19</v>
      </c>
      <c r="E46" s="13" t="s">
        <v>20</v>
      </c>
      <c r="F46" s="14" t="s">
        <v>12</v>
      </c>
      <c r="G46" s="15" t="s">
        <v>13</v>
      </c>
      <c r="H46" s="14" t="s">
        <v>25</v>
      </c>
      <c r="I46" s="13"/>
      <c r="J46" s="13"/>
      <c r="K46" s="13"/>
      <c r="L46" s="15" t="s">
        <v>15</v>
      </c>
      <c r="M46" s="16" t="s">
        <v>15</v>
      </c>
    </row>
    <row r="47" customFormat="false" ht="14.25" hidden="false" customHeight="false" outlineLevel="0" collapsed="false">
      <c r="B47" s="17"/>
      <c r="C47" s="18"/>
      <c r="D47" s="19"/>
      <c r="E47" s="18"/>
      <c r="F47" s="17"/>
      <c r="G47" s="18"/>
      <c r="H47" s="17"/>
      <c r="I47" s="18"/>
      <c r="J47" s="18"/>
      <c r="K47" s="18"/>
      <c r="L47" s="18"/>
      <c r="M47" s="20"/>
    </row>
    <row r="48" customFormat="false" ht="14.25" hidden="false" customHeight="false" outlineLevel="0" collapsed="false">
      <c r="B48" s="19" t="n">
        <v>213303646</v>
      </c>
      <c r="C48" s="21" t="n">
        <f aca="false">527958000+274600000</f>
        <v>802558000</v>
      </c>
      <c r="D48" s="19" t="n">
        <f aca="false">871005241-C48</f>
        <v>68447241</v>
      </c>
      <c r="E48" s="21" t="n">
        <v>37665140</v>
      </c>
      <c r="F48" s="19"/>
      <c r="G48" s="21"/>
      <c r="H48" s="19"/>
      <c r="I48" s="21"/>
      <c r="J48" s="21"/>
      <c r="K48" s="21"/>
      <c r="L48" s="21"/>
      <c r="M48" s="22" t="e">
        <f aca="false">(F48+G48)/N45</f>
        <v>#DIV/0!</v>
      </c>
    </row>
    <row r="49" customFormat="false" ht="15" hidden="false" customHeight="false" outlineLevel="0" collapsed="false">
      <c r="B49" s="23"/>
      <c r="C49" s="24"/>
      <c r="D49" s="23"/>
      <c r="E49" s="24"/>
      <c r="F49" s="23"/>
      <c r="G49" s="24"/>
      <c r="H49" s="23"/>
      <c r="I49" s="24"/>
      <c r="J49" s="24"/>
      <c r="K49" s="24"/>
      <c r="L49" s="24"/>
      <c r="M49" s="25"/>
    </row>
  </sheetData>
  <mergeCells count="15">
    <mergeCell ref="B2:G2"/>
    <mergeCell ref="B3:G3"/>
    <mergeCell ref="B4:G4"/>
    <mergeCell ref="B7:E7"/>
    <mergeCell ref="F7:H7"/>
    <mergeCell ref="B14:E14"/>
    <mergeCell ref="F14:H14"/>
    <mergeCell ref="B23:E23"/>
    <mergeCell ref="F23:H23"/>
    <mergeCell ref="B31:E31"/>
    <mergeCell ref="F31:H31"/>
    <mergeCell ref="B38:E38"/>
    <mergeCell ref="F38:H38"/>
    <mergeCell ref="B45:E45"/>
    <mergeCell ref="F45:H4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2:K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ColWidth="8.5390625" defaultRowHeight="14.25" zeroHeight="false" outlineLevelRow="0" outlineLevelCol="0"/>
  <cols>
    <col collapsed="false" customWidth="true" hidden="false" outlineLevel="0" max="3" min="3" style="0" width="18"/>
    <col collapsed="false" customWidth="true" hidden="false" outlineLevel="0" max="4" min="4" style="0" width="13.44"/>
    <col collapsed="false" customWidth="true" hidden="false" outlineLevel="0" max="5" min="5" style="0" width="14.55"/>
    <col collapsed="false" customWidth="true" hidden="false" outlineLevel="0" max="6" min="6" style="0" width="11.66"/>
    <col collapsed="false" customWidth="true" hidden="false" outlineLevel="0" max="7" min="7" style="0" width="13.44"/>
    <col collapsed="false" customWidth="true" hidden="false" outlineLevel="0" max="8" min="8" style="0" width="13"/>
    <col collapsed="false" customWidth="true" hidden="false" outlineLevel="0" max="9" min="9" style="0" width="13.44"/>
    <col collapsed="false" customWidth="true" hidden="false" outlineLevel="0" max="11" min="10" style="0" width="11.66"/>
  </cols>
  <sheetData>
    <row r="2" customFormat="false" ht="15" hidden="false" customHeight="false" outlineLevel="0" collapsed="false"/>
    <row r="3" customFormat="false" ht="15" hidden="false" customHeight="false" outlineLevel="0" collapsed="false">
      <c r="C3" s="1" t="s">
        <v>0</v>
      </c>
      <c r="D3" s="1"/>
      <c r="E3" s="1"/>
      <c r="F3" s="1"/>
      <c r="G3" s="1"/>
      <c r="H3" s="1"/>
    </row>
    <row r="4" customFormat="false" ht="18" hidden="false" customHeight="false" outlineLevel="0" collapsed="false">
      <c r="C4" s="2"/>
      <c r="D4" s="2"/>
      <c r="E4" s="2"/>
      <c r="F4" s="2"/>
      <c r="G4" s="2"/>
      <c r="H4" s="2"/>
    </row>
    <row r="5" customFormat="false" ht="15.75" hidden="false" customHeight="false" outlineLevel="0" collapsed="false">
      <c r="C5" s="3" t="s">
        <v>1</v>
      </c>
      <c r="D5" s="3"/>
      <c r="E5" s="3"/>
      <c r="F5" s="3"/>
      <c r="G5" s="3"/>
      <c r="H5" s="3"/>
    </row>
    <row r="6" customFormat="false" ht="14.25" hidden="false" customHeight="false" outlineLevel="0" collapsed="false">
      <c r="E6" s="5"/>
    </row>
    <row r="7" customFormat="false" ht="15" hidden="false" customHeight="false" outlineLevel="0" collapsed="false">
      <c r="C7" s="4" t="s">
        <v>33</v>
      </c>
      <c r="E7" s="5"/>
    </row>
    <row r="8" customFormat="false" ht="15" hidden="false" customHeight="false" outlineLevel="0" collapsed="false">
      <c r="B8" s="28"/>
      <c r="C8" s="29"/>
      <c r="D8" s="30" t="s">
        <v>34</v>
      </c>
      <c r="E8" s="30"/>
      <c r="F8" s="30" t="s">
        <v>35</v>
      </c>
      <c r="G8" s="30"/>
      <c r="H8" s="30" t="s">
        <v>36</v>
      </c>
      <c r="I8" s="30"/>
      <c r="J8" s="30" t="s">
        <v>37</v>
      </c>
      <c r="K8" s="30"/>
    </row>
    <row r="9" customFormat="false" ht="43.5" hidden="false" customHeight="false" outlineLevel="0" collapsed="false">
      <c r="B9" s="29"/>
      <c r="C9" s="6" t="s">
        <v>38</v>
      </c>
      <c r="D9" s="31" t="s">
        <v>39</v>
      </c>
      <c r="E9" s="7" t="s">
        <v>40</v>
      </c>
      <c r="F9" s="32" t="s">
        <v>41</v>
      </c>
      <c r="G9" s="6" t="s">
        <v>42</v>
      </c>
      <c r="H9" s="32" t="s">
        <v>41</v>
      </c>
      <c r="I9" s="6" t="s">
        <v>42</v>
      </c>
      <c r="J9" s="6" t="s">
        <v>41</v>
      </c>
      <c r="K9" s="33" t="s">
        <v>42</v>
      </c>
    </row>
    <row r="10" customFormat="false" ht="14.25" hidden="false" customHeight="false" outlineLevel="0" collapsed="false">
      <c r="B10" s="34"/>
      <c r="C10" s="17"/>
      <c r="D10" s="18"/>
      <c r="E10" s="17"/>
      <c r="F10" s="18"/>
      <c r="G10" s="17"/>
      <c r="H10" s="18"/>
      <c r="I10" s="17"/>
      <c r="J10" s="17"/>
      <c r="K10" s="20"/>
    </row>
    <row r="11" customFormat="false" ht="28.5" hidden="false" customHeight="false" outlineLevel="0" collapsed="false">
      <c r="B11" s="35" t="n">
        <v>1</v>
      </c>
      <c r="C11" s="36" t="s">
        <v>43</v>
      </c>
      <c r="D11" s="21" t="n">
        <f aca="false">10000000+700000000</f>
        <v>710000000</v>
      </c>
      <c r="E11" s="19" t="n">
        <f aca="false">'NBA-10.2a'!G10+'NBA-10.2a'!H10</f>
        <v>776735192</v>
      </c>
      <c r="F11" s="21" t="n">
        <f aca="false">10000000+20848784</f>
        <v>30848784</v>
      </c>
      <c r="G11" s="19" t="n">
        <f aca="false">101006316+35446621-7692601-1025008</f>
        <v>127735328</v>
      </c>
      <c r="H11" s="21" t="n">
        <f aca="false">700000+260175000</f>
        <v>260875000</v>
      </c>
      <c r="I11" s="19" t="n">
        <f aca="false">163691650+5775508+457759</f>
        <v>169924917</v>
      </c>
      <c r="J11" s="19" t="n">
        <f aca="false">700000+5000000</f>
        <v>5700000</v>
      </c>
      <c r="K11" s="22" t="n">
        <f aca="false">90464118+24775554-11598213-1480925+2396742+2040953+18357904</f>
        <v>124956133</v>
      </c>
    </row>
    <row r="12" customFormat="false" ht="14.25" hidden="false" customHeight="false" outlineLevel="0" collapsed="false">
      <c r="B12" s="37"/>
      <c r="C12" s="17"/>
      <c r="D12" s="21"/>
      <c r="E12" s="19"/>
      <c r="F12" s="21"/>
      <c r="G12" s="19"/>
      <c r="H12" s="21"/>
      <c r="I12" s="19"/>
      <c r="J12" s="19"/>
      <c r="K12" s="22"/>
    </row>
    <row r="13" customFormat="false" ht="14.25" hidden="false" customHeight="false" outlineLevel="0" collapsed="false">
      <c r="B13" s="37"/>
      <c r="C13" s="17"/>
      <c r="D13" s="21"/>
      <c r="E13" s="19"/>
      <c r="F13" s="21"/>
      <c r="G13" s="19"/>
      <c r="H13" s="21"/>
      <c r="I13" s="19"/>
      <c r="J13" s="19"/>
      <c r="K13" s="22"/>
    </row>
    <row r="14" customFormat="false" ht="14.25" hidden="false" customHeight="false" outlineLevel="0" collapsed="false">
      <c r="B14" s="37" t="n">
        <v>2</v>
      </c>
      <c r="C14" s="17" t="s">
        <v>44</v>
      </c>
      <c r="D14" s="21" t="n">
        <v>19000000</v>
      </c>
      <c r="E14" s="19" t="n">
        <f aca="false">8867495+61533</f>
        <v>8929028</v>
      </c>
      <c r="F14" s="21" t="n">
        <v>24250000</v>
      </c>
      <c r="G14" s="19" t="n">
        <v>7692601</v>
      </c>
      <c r="H14" s="21" t="n">
        <v>10000000</v>
      </c>
      <c r="I14" s="19" t="n">
        <f aca="false">1687400+3279415+98235</f>
        <v>5065050</v>
      </c>
      <c r="J14" s="19" t="n">
        <v>19400000</v>
      </c>
      <c r="K14" s="22" t="n">
        <v>11598213</v>
      </c>
    </row>
    <row r="15" customFormat="false" ht="14.25" hidden="false" customHeight="false" outlineLevel="0" collapsed="false">
      <c r="B15" s="37"/>
      <c r="C15" s="17"/>
      <c r="D15" s="21"/>
      <c r="E15" s="19"/>
      <c r="F15" s="21"/>
      <c r="G15" s="19"/>
      <c r="H15" s="21"/>
      <c r="I15" s="19"/>
      <c r="J15" s="19"/>
      <c r="K15" s="22"/>
    </row>
    <row r="16" customFormat="false" ht="28.5" hidden="false" customHeight="false" outlineLevel="0" collapsed="false">
      <c r="B16" s="37" t="n">
        <v>3</v>
      </c>
      <c r="C16" s="36" t="s">
        <v>45</v>
      </c>
      <c r="D16" s="21" t="n">
        <v>20000000</v>
      </c>
      <c r="E16" s="19" t="n">
        <v>1862485</v>
      </c>
      <c r="F16" s="21" t="n">
        <v>15000000</v>
      </c>
      <c r="G16" s="19" t="n">
        <v>2391752</v>
      </c>
      <c r="H16" s="21" t="n">
        <v>7200000</v>
      </c>
      <c r="I16" s="19" t="n">
        <f aca="false">525000+1029830</f>
        <v>1554830</v>
      </c>
      <c r="J16" s="19" t="n">
        <v>7200000</v>
      </c>
      <c r="K16" s="22" t="n">
        <f aca="false">1480925+830105</f>
        <v>2311030</v>
      </c>
    </row>
    <row r="17" customFormat="false" ht="14.25" hidden="false" customHeight="false" outlineLevel="0" collapsed="false">
      <c r="B17" s="37"/>
      <c r="C17" s="17"/>
      <c r="D17" s="21"/>
      <c r="E17" s="19"/>
      <c r="F17" s="21"/>
      <c r="G17" s="19"/>
      <c r="H17" s="21"/>
      <c r="I17" s="19"/>
      <c r="J17" s="19"/>
      <c r="K17" s="22"/>
    </row>
    <row r="18" customFormat="false" ht="28.5" hidden="false" customHeight="false" outlineLevel="0" collapsed="false">
      <c r="B18" s="37" t="n">
        <v>4</v>
      </c>
      <c r="C18" s="36" t="s">
        <v>46</v>
      </c>
      <c r="D18" s="21" t="n">
        <v>858700120</v>
      </c>
      <c r="E18" s="19" t="n">
        <f aca="false">'NBA-10.2a'!C10-7500500</f>
        <v>671519500</v>
      </c>
      <c r="F18" s="21" t="n">
        <v>780074751</v>
      </c>
      <c r="G18" s="19" t="n">
        <f aca="false">779817968-G28</f>
        <v>755922709</v>
      </c>
      <c r="H18" s="21" t="n">
        <f aca="false">357889920+98141590+8138240+75135180+4706330+416020+989580+82212750+27650090+300000+718000+534240+30542370+2491207+563103</f>
        <v>690428620</v>
      </c>
      <c r="I18" s="19" t="n">
        <f aca="false">770720779-8099425</f>
        <v>762621354</v>
      </c>
      <c r="J18" s="19" t="n">
        <f aca="false">345364090+81316940+4494040+4706330+300000+416020+968770+70771420+13304300+300000+746000+633300+528360+25926370+1143900</f>
        <v>550919840</v>
      </c>
      <c r="K18" s="22" t="n">
        <v>748422869</v>
      </c>
    </row>
    <row r="19" customFormat="false" ht="14.25" hidden="false" customHeight="false" outlineLevel="0" collapsed="false">
      <c r="B19" s="37"/>
      <c r="C19" s="17"/>
      <c r="D19" s="21"/>
      <c r="E19" s="19"/>
      <c r="F19" s="21"/>
      <c r="G19" s="19"/>
      <c r="H19" s="21"/>
      <c r="I19" s="19"/>
      <c r="J19" s="19"/>
      <c r="K19" s="22"/>
    </row>
    <row r="20" customFormat="false" ht="28.5" hidden="false" customHeight="false" outlineLevel="0" collapsed="false">
      <c r="B20" s="37" t="n">
        <v>5</v>
      </c>
      <c r="C20" s="36" t="s">
        <v>47</v>
      </c>
      <c r="D20" s="21" t="n">
        <f aca="false">65000000+250000+6000000</f>
        <v>71250000</v>
      </c>
      <c r="E20" s="19" t="n">
        <f aca="false">109504+2819105+7781857+102338</f>
        <v>10812804</v>
      </c>
      <c r="F20" s="21" t="n">
        <f aca="false">3500000+190000+20000000</f>
        <v>23690000</v>
      </c>
      <c r="G20" s="19" t="n">
        <f aca="false">15505780+4054506</f>
        <v>19560286</v>
      </c>
      <c r="H20" s="21" t="n">
        <f aca="false">10000000+50000</f>
        <v>10050000</v>
      </c>
      <c r="I20" s="19" t="n">
        <f aca="false">4354794</f>
        <v>4354794</v>
      </c>
      <c r="J20" s="19" t="n">
        <f aca="false">10000000+50000</f>
        <v>10050000</v>
      </c>
      <c r="K20" s="22" t="n">
        <f aca="false">2320142+224610+702160+166574</f>
        <v>3413486</v>
      </c>
    </row>
    <row r="21" customFormat="false" ht="14.25" hidden="false" customHeight="false" outlineLevel="0" collapsed="false">
      <c r="B21" s="37"/>
      <c r="C21" s="17"/>
      <c r="D21" s="21"/>
      <c r="E21" s="19"/>
      <c r="F21" s="21"/>
      <c r="G21" s="19"/>
      <c r="H21" s="21"/>
      <c r="I21" s="19"/>
      <c r="J21" s="19"/>
      <c r="K21" s="22"/>
    </row>
    <row r="22" customFormat="false" ht="14.25" hidden="false" customHeight="false" outlineLevel="0" collapsed="false">
      <c r="B22" s="37" t="n">
        <v>6</v>
      </c>
      <c r="C22" s="17" t="s">
        <v>48</v>
      </c>
      <c r="D22" s="21" t="n">
        <v>5807420</v>
      </c>
      <c r="E22" s="19" t="n">
        <v>5807420</v>
      </c>
      <c r="F22" s="21" t="n">
        <f aca="false">G22</f>
        <v>11405875</v>
      </c>
      <c r="G22" s="19" t="n">
        <f aca="false">10380867+1025008</f>
        <v>11405875</v>
      </c>
      <c r="H22" s="21" t="n">
        <f aca="false">I22</f>
        <v>8727112</v>
      </c>
      <c r="I22" s="19" t="n">
        <f aca="false">5149811+3577301</f>
        <v>8727112</v>
      </c>
      <c r="J22" s="19" t="n">
        <f aca="false">K22</f>
        <v>8762183</v>
      </c>
      <c r="K22" s="22" t="n">
        <f aca="false">4262877+4499306</f>
        <v>8762183</v>
      </c>
    </row>
    <row r="23" customFormat="false" ht="14.25" hidden="false" customHeight="false" outlineLevel="0" collapsed="false">
      <c r="B23" s="37"/>
      <c r="C23" s="17"/>
      <c r="D23" s="21"/>
      <c r="E23" s="19"/>
      <c r="F23" s="21"/>
      <c r="G23" s="19"/>
      <c r="H23" s="21"/>
      <c r="I23" s="19"/>
      <c r="J23" s="19"/>
      <c r="K23" s="22"/>
    </row>
    <row r="24" customFormat="false" ht="14.25" hidden="false" customHeight="false" outlineLevel="0" collapsed="false">
      <c r="B24" s="37" t="n">
        <v>7</v>
      </c>
      <c r="C24" s="17" t="s">
        <v>49</v>
      </c>
      <c r="D24" s="21" t="n">
        <f aca="false">1500000+5000000</f>
        <v>6500000</v>
      </c>
      <c r="E24" s="19" t="n">
        <f aca="false">679562+50323+179988+1694106+531286+41889</f>
        <v>3177154</v>
      </c>
      <c r="F24" s="21" t="n">
        <f aca="false">1200000+5000000</f>
        <v>6200000</v>
      </c>
      <c r="G24" s="19" t="n">
        <f aca="false">279595+733816+73957+581206</f>
        <v>1668574</v>
      </c>
      <c r="H24" s="21" t="n">
        <f aca="false">500000+1000000</f>
        <v>1500000</v>
      </c>
      <c r="I24" s="19" t="n">
        <f aca="false">263794+429037</f>
        <v>692831</v>
      </c>
      <c r="J24" s="19" t="n">
        <f aca="false">500000+1000000</f>
        <v>1500000</v>
      </c>
      <c r="K24" s="22" t="n">
        <f aca="false">290232+111122</f>
        <v>401354</v>
      </c>
    </row>
    <row r="25" customFormat="false" ht="14.25" hidden="false" customHeight="false" outlineLevel="0" collapsed="false">
      <c r="B25" s="37"/>
      <c r="C25" s="17"/>
      <c r="D25" s="21"/>
      <c r="E25" s="19"/>
      <c r="F25" s="21"/>
      <c r="G25" s="19"/>
      <c r="H25" s="21"/>
      <c r="I25" s="19"/>
      <c r="J25" s="19"/>
      <c r="K25" s="22"/>
    </row>
    <row r="26" customFormat="false" ht="28.5" hidden="false" customHeight="false" outlineLevel="0" collapsed="false">
      <c r="B26" s="35" t="n">
        <v>8</v>
      </c>
      <c r="C26" s="36" t="s">
        <v>50</v>
      </c>
      <c r="D26" s="21" t="n">
        <f aca="false">25000000+6500000</f>
        <v>31500000</v>
      </c>
      <c r="E26" s="19" t="n">
        <f aca="false">14951712+4741148</f>
        <v>19692860</v>
      </c>
      <c r="F26" s="21" t="n">
        <f aca="false">17000000+6000000</f>
        <v>23000000</v>
      </c>
      <c r="G26" s="19" t="n">
        <f aca="false">17223232+4915002</f>
        <v>22138234</v>
      </c>
      <c r="H26" s="21" t="n">
        <f aca="false">15000000+5000000</f>
        <v>20000000</v>
      </c>
      <c r="I26" s="19" t="n">
        <f aca="false">11723481+4721438</f>
        <v>16444919</v>
      </c>
      <c r="J26" s="19" t="n">
        <f aca="false">14500000+4500000</f>
        <v>19000000</v>
      </c>
      <c r="K26" s="22" t="n">
        <f aca="false">4513486+9477184</f>
        <v>13990670</v>
      </c>
    </row>
    <row r="27" customFormat="false" ht="14.25" hidden="false" customHeight="false" outlineLevel="0" collapsed="false">
      <c r="B27" s="37"/>
      <c r="C27" s="17"/>
      <c r="D27" s="21"/>
      <c r="E27" s="19"/>
      <c r="F27" s="21"/>
      <c r="G27" s="19"/>
      <c r="H27" s="21"/>
      <c r="I27" s="19"/>
      <c r="J27" s="19"/>
      <c r="K27" s="22"/>
    </row>
    <row r="28" customFormat="false" ht="42.75" hidden="false" customHeight="false" outlineLevel="0" collapsed="false">
      <c r="B28" s="35" t="n">
        <v>9</v>
      </c>
      <c r="C28" s="36" t="s">
        <v>51</v>
      </c>
      <c r="D28" s="21" t="n">
        <f aca="false">13310000+26000000</f>
        <v>39310000</v>
      </c>
      <c r="E28" s="19" t="n">
        <f aca="false">12565412+23030499</f>
        <v>35595911</v>
      </c>
      <c r="F28" s="21" t="n">
        <f aca="false">12375000</f>
        <v>12375000</v>
      </c>
      <c r="G28" s="19" t="n">
        <f aca="false">12762625+11132634</f>
        <v>23895259</v>
      </c>
      <c r="H28" s="21" t="n">
        <v>5130000</v>
      </c>
      <c r="I28" s="19" t="n">
        <v>8099425</v>
      </c>
      <c r="J28" s="19" t="n">
        <f aca="false">5130000</f>
        <v>5130000</v>
      </c>
      <c r="K28" s="22" t="n">
        <v>6076238</v>
      </c>
    </row>
    <row r="29" customFormat="false" ht="14.25" hidden="false" customHeight="false" outlineLevel="0" collapsed="false">
      <c r="B29" s="37"/>
      <c r="C29" s="17"/>
      <c r="D29" s="21"/>
      <c r="E29" s="19"/>
      <c r="F29" s="21"/>
      <c r="G29" s="19"/>
      <c r="H29" s="21"/>
      <c r="I29" s="19"/>
      <c r="J29" s="19"/>
      <c r="K29" s="22"/>
    </row>
    <row r="30" customFormat="false" ht="14.25" hidden="false" customHeight="false" outlineLevel="0" collapsed="false">
      <c r="B30" s="37" t="n">
        <v>10</v>
      </c>
      <c r="C30" s="17" t="s">
        <v>52</v>
      </c>
      <c r="D30" s="21" t="n">
        <v>17274720</v>
      </c>
      <c r="E30" s="19" t="n">
        <v>14139252</v>
      </c>
      <c r="F30" s="21" t="n">
        <v>16402800</v>
      </c>
      <c r="G30" s="19" t="n">
        <v>13025435</v>
      </c>
      <c r="H30" s="21" t="n">
        <v>8426640</v>
      </c>
      <c r="I30" s="19" t="n">
        <v>30726010</v>
      </c>
      <c r="J30" s="19" t="n">
        <v>8426640</v>
      </c>
      <c r="K30" s="22" t="n">
        <v>25829000</v>
      </c>
    </row>
    <row r="31" customFormat="false" ht="14.25" hidden="false" customHeight="false" outlineLevel="0" collapsed="false">
      <c r="B31" s="37"/>
      <c r="C31" s="17"/>
      <c r="D31" s="21"/>
      <c r="E31" s="19"/>
      <c r="F31" s="21"/>
      <c r="G31" s="19"/>
      <c r="H31" s="21"/>
      <c r="I31" s="19"/>
      <c r="J31" s="19"/>
      <c r="K31" s="22"/>
    </row>
    <row r="32" customFormat="false" ht="42.75" hidden="false" customHeight="false" outlineLevel="0" collapsed="false">
      <c r="B32" s="35" t="n">
        <v>11</v>
      </c>
      <c r="C32" s="36" t="s">
        <v>53</v>
      </c>
      <c r="D32" s="21" t="n">
        <f aca="false">2880000+320000+300000+50000+2000000+300000+14300000</f>
        <v>20150000</v>
      </c>
      <c r="E32" s="19" t="n">
        <f aca="false">52000+15733+446261+320310+59148+3341394+811687+253157+6144+1600692+1381823</f>
        <v>8288349</v>
      </c>
      <c r="F32" s="21" t="n">
        <f aca="false">12200000+280000+1800000+50000+300000+582500+5880000</f>
        <v>21092500</v>
      </c>
      <c r="G32" s="19" t="n">
        <f aca="false">4058377+243115+3801614+1692030+387911+1067996+177000+105825+597404+782365+536340+112420+73197+229795+1553268+1206995+637500+169725+945484+640557+401643+285920+488532+77600+15011+1224851+6125000-2391752</f>
        <v>25245723</v>
      </c>
      <c r="H32" s="21" t="n">
        <f aca="false">4922000+11660000+250000+1750000+50000+278000+1000000</f>
        <v>19910000</v>
      </c>
      <c r="I32" s="19" t="n">
        <f aca="false">148003+2941981+369055+22490+3849200+1032735+779919+124451+122130+439432+260087+100000+1214923+4345145+6509500+372000+2956809+859067+40592+29891+143172+121820+3841500+579158+122655+837061+367000+11499787+243115-1029830</f>
        <v>43242848</v>
      </c>
      <c r="J32" s="19" t="n">
        <f aca="false">11660000+4922000+250000+1742000+50000+512000+1000000</f>
        <v>20136000</v>
      </c>
      <c r="K32" s="22" t="n">
        <f aca="false">243115+666544+784000+4391631+164261+77545+39624+2006923+313666+125774+41300+453212+1717577+156000+1435370+219000+255400+30650+92250+1038723+66483+236005+62324+693290+665000+323905+161561+1319896-830105</f>
        <v>16950924</v>
      </c>
    </row>
    <row r="33" customFormat="false" ht="14.25" hidden="false" customHeight="false" outlineLevel="0" collapsed="false">
      <c r="B33" s="37"/>
      <c r="C33" s="17"/>
      <c r="D33" s="21"/>
      <c r="E33" s="19"/>
      <c r="F33" s="21"/>
      <c r="G33" s="19"/>
      <c r="H33" s="21"/>
      <c r="I33" s="19"/>
      <c r="J33" s="19"/>
      <c r="K33" s="22"/>
    </row>
    <row r="34" customFormat="false" ht="14.25" hidden="false" customHeight="false" outlineLevel="0" collapsed="false">
      <c r="B34" s="37" t="n">
        <v>12</v>
      </c>
      <c r="C34" s="17" t="s">
        <v>54</v>
      </c>
      <c r="D34" s="21"/>
      <c r="E34" s="19"/>
      <c r="F34" s="21"/>
      <c r="G34" s="19"/>
      <c r="H34" s="21"/>
      <c r="I34" s="19"/>
      <c r="J34" s="19"/>
      <c r="K34" s="22"/>
    </row>
    <row r="35" customFormat="false" ht="15" hidden="false" customHeight="false" outlineLevel="0" collapsed="false">
      <c r="B35" s="37"/>
      <c r="C35" s="17"/>
      <c r="D35" s="38"/>
      <c r="E35" s="39"/>
      <c r="F35" s="40"/>
      <c r="G35" s="39"/>
      <c r="H35" s="40"/>
      <c r="I35" s="39"/>
      <c r="J35" s="39"/>
      <c r="K35" s="41"/>
    </row>
    <row r="36" customFormat="false" ht="14.25" hidden="false" customHeight="false" outlineLevel="0" collapsed="false">
      <c r="B36" s="37"/>
      <c r="C36" s="17" t="s">
        <v>55</v>
      </c>
      <c r="D36" s="42" t="n">
        <f aca="false">SUM(D11:D35)</f>
        <v>1799492260</v>
      </c>
      <c r="E36" s="42" t="n">
        <f aca="false">SUM(E11:E35)</f>
        <v>1556559955</v>
      </c>
      <c r="F36" s="42" t="n">
        <f aca="false">SUM(F11:F35)</f>
        <v>964339710</v>
      </c>
      <c r="G36" s="42" t="n">
        <f aca="false">SUM(G11:G35)</f>
        <v>1010681776</v>
      </c>
      <c r="H36" s="42" t="n">
        <f aca="false">SUM(H11:H35)</f>
        <v>1042247372</v>
      </c>
      <c r="I36" s="42" t="n">
        <f aca="false">SUM(I11:I35)</f>
        <v>1051454090</v>
      </c>
      <c r="J36" s="42" t="n">
        <f aca="false">SUM(J11:J35)</f>
        <v>656224663</v>
      </c>
      <c r="K36" s="42" t="n">
        <f aca="false">SUM(K11:K35)</f>
        <v>962712100</v>
      </c>
    </row>
    <row r="37" customFormat="false" ht="15" hidden="false" customHeight="false" outlineLevel="0" collapsed="false">
      <c r="B37" s="43"/>
      <c r="C37" s="23"/>
      <c r="D37" s="40"/>
      <c r="E37" s="39"/>
      <c r="F37" s="40"/>
      <c r="G37" s="39"/>
      <c r="H37" s="40"/>
      <c r="I37" s="39"/>
      <c r="J37" s="39"/>
      <c r="K37" s="41"/>
    </row>
    <row r="39" customFormat="false" ht="14.25" hidden="false" customHeight="false" outlineLevel="0" collapsed="false">
      <c r="F39" s="5"/>
      <c r="J39" s="5"/>
    </row>
  </sheetData>
  <mergeCells count="7">
    <mergeCell ref="C3:H3"/>
    <mergeCell ref="C4:H4"/>
    <mergeCell ref="C5:H5"/>
    <mergeCell ref="D8:E8"/>
    <mergeCell ref="F8:G8"/>
    <mergeCell ref="H8:I8"/>
    <mergeCell ref="J8:K8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LibreOffice/7.3.7.2$Linux_X86_64 LibreOffice_project/30$Build-2</Application>
  <AppVersion>15.0000</AppVersion>
  <Company>Tata Steel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2024-02-13T05:21:35Z</dcterms:created>
  <dc:creator>Saroj Nayak</dc:creator>
  <dc:description/>
  <dc:language>en-IN</dc:language>
  <cp:lastModifiedBy/>
  <cp:lastPrinted>2024-04-04T07:07:18Z</cp:lastPrinted>
  <dcterms:modified xsi:type="dcterms:W3CDTF">2024-04-08T13:31:01Z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